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12330" activeTab="1"/>
  </bookViews>
  <sheets>
    <sheet name="Decode" sheetId="1" r:id="rId1"/>
    <sheet name="Encode" sheetId="2" r:id="rId2"/>
    <sheet name="Protocol" sheetId="3" r:id="rId3"/>
    <sheet name="Powers" sheetId="4" r:id="rId4"/>
  </sheets>
  <definedNames/>
  <calcPr fullCalcOnLoad="1"/>
</workbook>
</file>

<file path=xl/sharedStrings.xml><?xml version="1.0" encoding="utf-8"?>
<sst xmlns="http://schemas.openxmlformats.org/spreadsheetml/2006/main" count="65" uniqueCount="46">
  <si>
    <t>6-char loc</t>
  </si>
  <si>
    <t>Altitude</t>
  </si>
  <si>
    <t>18/18/10/10/19</t>
  </si>
  <si>
    <t>Temp raw</t>
  </si>
  <si>
    <t>Bat raw</t>
  </si>
  <si>
    <t>Speed m/s</t>
  </si>
  <si>
    <t>GPS</t>
  </si>
  <si>
    <t>Sats</t>
  </si>
  <si>
    <t xml:space="preserve">Speed </t>
  </si>
  <si>
    <t>A3</t>
  </si>
  <si>
    <t>A0</t>
  </si>
  <si>
    <t>Avail:</t>
  </si>
  <si>
    <t>Location</t>
  </si>
  <si>
    <t>Type</t>
  </si>
  <si>
    <t>Call</t>
  </si>
  <si>
    <t>VE3KCL</t>
  </si>
  <si>
    <t>Locator</t>
  </si>
  <si>
    <t>Power</t>
  </si>
  <si>
    <t>Powers</t>
  </si>
  <si>
    <t>Input…</t>
  </si>
  <si>
    <t>Decode…</t>
  </si>
  <si>
    <t>Speed</t>
  </si>
  <si>
    <t>m/s</t>
  </si>
  <si>
    <t>m</t>
  </si>
  <si>
    <t>Inputs…</t>
  </si>
  <si>
    <t>Encoded…</t>
  </si>
  <si>
    <t>Callsign</t>
  </si>
  <si>
    <t>1 means "A" GPS validity flag is in the $GPRMC string</t>
  </si>
  <si>
    <t>Lots of satellites, 1 means means &gt;= 8 satellites being tracked</t>
  </si>
  <si>
    <t>0 to 21340m, resolution 20m</t>
  </si>
  <si>
    <t>2 extra Maidenhead locator letters A - X, base 24, 0..575</t>
  </si>
  <si>
    <t>Temp</t>
  </si>
  <si>
    <t>Bat</t>
  </si>
  <si>
    <t>FN03IQ</t>
  </si>
  <si>
    <t>C</t>
  </si>
  <si>
    <t>V</t>
  </si>
  <si>
    <t>Channel</t>
  </si>
  <si>
    <t>36/26/26/26</t>
  </si>
  <si>
    <t>FN03</t>
  </si>
  <si>
    <t>Comment</t>
  </si>
  <si>
    <t>Decode Temperature, battery, speed, GPS, Sats from "Locator" and "Power" fields</t>
  </si>
  <si>
    <t>Decode channel from "Callsign" field characters 0 and 2</t>
  </si>
  <si>
    <t>Decode 5th &amp; 6th locator char, and altitude from "Callsign" field characters 1, 3, 4 and 5</t>
  </si>
  <si>
    <t>Battery, 0.05V resolution, 3V to 5V would be 0..40</t>
  </si>
  <si>
    <t>Temperature, temp -50 to +39C, is 0..89</t>
  </si>
  <si>
    <t>knots, 0..82, with resolution knots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</si>
</sst>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34" borderId="24" xfId="0" applyFont="1" applyFill="1" applyBorder="1" applyAlignment="1">
      <alignment horizontal="right"/>
    </xf>
    <xf numFmtId="0" fontId="35" fillId="34" borderId="26" xfId="0" applyFont="1" applyFill="1" applyBorder="1" applyAlignment="1">
      <alignment/>
    </xf>
    <xf numFmtId="0" fontId="35" fillId="34" borderId="28" xfId="0" applyFont="1" applyFill="1" applyBorder="1" applyAlignment="1">
      <alignment horizontal="right"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0" fontId="35" fillId="34" borderId="29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0" fontId="35" fillId="34" borderId="29" xfId="0" applyFont="1" applyFill="1" applyBorder="1" applyAlignment="1">
      <alignment horizontal="right"/>
    </xf>
    <xf numFmtId="0" fontId="35" fillId="34" borderId="30" xfId="0" applyFont="1" applyFill="1" applyBorder="1" applyAlignment="1">
      <alignment/>
    </xf>
    <xf numFmtId="0" fontId="35" fillId="34" borderId="25" xfId="0" applyFont="1" applyFill="1" applyBorder="1" applyAlignment="1">
      <alignment horizontal="right"/>
    </xf>
    <xf numFmtId="0" fontId="35" fillId="34" borderId="25" xfId="0" applyFont="1" applyFill="1" applyBorder="1" applyAlignment="1">
      <alignment/>
    </xf>
    <xf numFmtId="0" fontId="35" fillId="34" borderId="28" xfId="0" applyFont="1" applyFill="1" applyBorder="1" applyAlignment="1">
      <alignment/>
    </xf>
    <xf numFmtId="2" fontId="35" fillId="34" borderId="25" xfId="0" applyNumberFormat="1" applyFont="1" applyFill="1" applyBorder="1" applyAlignment="1">
      <alignment/>
    </xf>
    <xf numFmtId="0" fontId="33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">
      <selection activeCell="B8" sqref="B8"/>
    </sheetView>
  </sheetViews>
  <sheetFormatPr defaultColWidth="9.140625" defaultRowHeight="15"/>
  <cols>
    <col min="5" max="8" width="2.00390625" style="0" customWidth="1"/>
    <col min="9" max="9" width="7.7109375" style="0" customWidth="1"/>
    <col min="10" max="10" width="3.8515625" style="0" bestFit="1" customWidth="1"/>
    <col min="11" max="11" width="4.00390625" style="0" bestFit="1" customWidth="1"/>
    <col min="12" max="12" width="8.421875" style="0" bestFit="1" customWidth="1"/>
    <col min="13" max="13" width="3.8515625" style="0" bestFit="1" customWidth="1"/>
    <col min="14" max="15" width="4.00390625" style="0" bestFit="1" customWidth="1"/>
    <col min="16" max="16" width="5.00390625" style="0" bestFit="1" customWidth="1"/>
    <col min="17" max="17" width="3.00390625" style="0" bestFit="1" customWidth="1"/>
    <col min="18" max="20" width="2.00390625" style="0" bestFit="1" customWidth="1"/>
    <col min="21" max="21" width="79.140625" style="0" bestFit="1" customWidth="1"/>
  </cols>
  <sheetData>
    <row r="1" ht="15.75" thickBot="1"/>
    <row r="2" ht="15.75" thickBot="1">
      <c r="B2" s="27" t="s">
        <v>19</v>
      </c>
    </row>
    <row r="3" spans="1:22" s="2" customFormat="1" ht="15.75" thickBot="1">
      <c r="A3" s="18" t="s">
        <v>13</v>
      </c>
      <c r="B3" s="19" t="s">
        <v>14</v>
      </c>
      <c r="C3" s="19" t="s">
        <v>16</v>
      </c>
      <c r="D3" s="19" t="s">
        <v>17</v>
      </c>
      <c r="U3" s="2" t="s">
        <v>39</v>
      </c>
      <c r="V3"/>
    </row>
    <row r="4" spans="1:8" ht="15">
      <c r="A4" s="12">
        <v>0</v>
      </c>
      <c r="B4" s="20" t="s">
        <v>15</v>
      </c>
      <c r="C4" s="21" t="s">
        <v>38</v>
      </c>
      <c r="D4" s="22">
        <v>13</v>
      </c>
      <c r="E4" t="str">
        <f>MID($C4,COLUMN(E3)-4,1)</f>
        <v>F</v>
      </c>
      <c r="F4" t="str">
        <f>MID($C4,COLUMN(F3)-4,1)</f>
        <v>N</v>
      </c>
      <c r="G4" t="str">
        <f>MID($C4,COLUMN(G3)-4,1)</f>
        <v>0</v>
      </c>
      <c r="H4" t="str">
        <f>MID($C4,COLUMN(H3)-4,1)</f>
        <v>3</v>
      </c>
    </row>
    <row r="5" spans="1:21" ht="15.75" thickBot="1">
      <c r="A5" s="12">
        <v>4</v>
      </c>
      <c r="B5" s="24" t="str">
        <f>Encode!L15</f>
        <v>0C0QRY</v>
      </c>
      <c r="C5" s="25" t="str">
        <f>Encode!L16</f>
        <v>HK52</v>
      </c>
      <c r="D5" s="26">
        <f>Encode!L17</f>
        <v>23</v>
      </c>
      <c r="E5" t="str">
        <f>MID(B5,1,1)</f>
        <v>0</v>
      </c>
      <c r="F5" t="str">
        <f>MID(B5,2,1)</f>
        <v>C</v>
      </c>
      <c r="G5" t="str">
        <f>MID(B5,3,1)</f>
        <v>0</v>
      </c>
      <c r="H5" t="str">
        <f>MID(B5,4,1)</f>
        <v>Q</v>
      </c>
      <c r="I5" t="str">
        <f>MID(B5,5,1)</f>
        <v>R</v>
      </c>
      <c r="J5" t="str">
        <f>MID(B5,6,1)</f>
        <v>Y</v>
      </c>
      <c r="K5" s="40">
        <f>VALUE(G5)+IF(E5="Q",10,0)</f>
        <v>0</v>
      </c>
      <c r="L5">
        <f>26*26*26*IF(ISERROR(VALUE(F5)),10+CODE(F5)-CODE("A"),VALUE(F5))+26*26*(CODE(H5)-CODE("A"))+26*(CODE(I5)-CODE("A"))+(CODE(J5)-CODE("A"))</f>
        <v>222194</v>
      </c>
      <c r="U5" t="s">
        <v>41</v>
      </c>
    </row>
    <row r="6" spans="5:21" ht="15">
      <c r="E6">
        <f>MID($C6,COLUMN(E4)-4,1)</f>
      </c>
      <c r="F6">
        <f>MID($C6,COLUMN(F4)-4,1)</f>
      </c>
      <c r="G6">
        <f>MID($C6,COLUMN(G4)-4,1)</f>
      </c>
      <c r="H6">
        <f>MID($C6,COLUMN(H4)-4,1)</f>
      </c>
      <c r="I6">
        <f>L5</f>
        <v>222194</v>
      </c>
      <c r="J6">
        <f>INT(I6/(24*1068))</f>
        <v>8</v>
      </c>
      <c r="K6" s="47" t="str">
        <f>CHAR(J6+CODE("A"))</f>
        <v>I</v>
      </c>
      <c r="L6">
        <f>I6-J6*(24*1068)</f>
        <v>17138</v>
      </c>
      <c r="M6">
        <f>INT(L6/1068)</f>
        <v>16</v>
      </c>
      <c r="N6" s="47" t="str">
        <f>CHAR(M6+CODE("A"))</f>
        <v>Q</v>
      </c>
      <c r="O6">
        <f>L6-M6*1068</f>
        <v>50</v>
      </c>
      <c r="P6" s="47">
        <f>O6*20</f>
        <v>1000</v>
      </c>
      <c r="U6" t="s">
        <v>42</v>
      </c>
    </row>
    <row r="7" spans="5:21" ht="15">
      <c r="E7" t="str">
        <f>MID($C5,COLUMN(E6)-4,1)</f>
        <v>H</v>
      </c>
      <c r="F7" t="str">
        <f>MID($C5,COLUMN(F6)-4,1)</f>
        <v>K</v>
      </c>
      <c r="G7" t="str">
        <f>MID($C5,COLUMN(G6)-4,1)</f>
        <v>5</v>
      </c>
      <c r="H7" t="str">
        <f>MID($C5,COLUMN(H6)-4,1)</f>
        <v>2</v>
      </c>
      <c r="I7">
        <f>(CODE(E7)-CODE("A"))*18*10*10*19+(CODE(F7)-CODE("A"))*10*10*19+G7*10*19+H7*19+VLOOKUP(D5,Powers!A2:B20,2)</f>
        <v>259395</v>
      </c>
      <c r="J7">
        <f>INT(I7/(40*42*2*2))</f>
        <v>38</v>
      </c>
      <c r="K7" s="2"/>
      <c r="L7">
        <f>I7-J7*(40*42*2*2)</f>
        <v>4035</v>
      </c>
      <c r="M7">
        <f>INT(L7/(42*2*2))</f>
        <v>24</v>
      </c>
      <c r="N7" s="2"/>
      <c r="O7">
        <f>L7-M7*42*2*2</f>
        <v>3</v>
      </c>
      <c r="P7">
        <f>INT(O7/(2*2))</f>
        <v>0</v>
      </c>
      <c r="Q7" s="47">
        <f>P7*2</f>
        <v>0</v>
      </c>
      <c r="R7">
        <f>O7-P7*2*2</f>
        <v>3</v>
      </c>
      <c r="S7" s="47">
        <f>INT(R7/2)</f>
        <v>1</v>
      </c>
      <c r="T7" s="47">
        <f>MOD(R7,2)</f>
        <v>1</v>
      </c>
      <c r="U7" t="s">
        <v>40</v>
      </c>
    </row>
    <row r="8" spans="10:13" ht="15">
      <c r="J8">
        <f>J7*2+457</f>
        <v>533</v>
      </c>
      <c r="M8">
        <f>M7*10+614</f>
        <v>854</v>
      </c>
    </row>
    <row r="9" spans="10:13" ht="15.75" thickBot="1">
      <c r="J9">
        <f>5*J8/1024</f>
        <v>2.6025390625</v>
      </c>
      <c r="M9" s="47">
        <f>5*M8/1024</f>
        <v>4.169921875</v>
      </c>
    </row>
    <row r="10" spans="2:10" ht="15.75" thickBot="1">
      <c r="B10" s="41" t="s">
        <v>20</v>
      </c>
      <c r="J10" s="47">
        <f>100*(J9-2.73)</f>
        <v>-12.746093749999998</v>
      </c>
    </row>
    <row r="11" ht="15.75" thickBot="1"/>
    <row r="12" spans="2:3" ht="15">
      <c r="B12" s="32" t="s">
        <v>26</v>
      </c>
      <c r="C12" s="33" t="str">
        <f>B4</f>
        <v>VE3KCL</v>
      </c>
    </row>
    <row r="13" spans="2:3" ht="15">
      <c r="B13" s="42" t="s">
        <v>36</v>
      </c>
      <c r="C13" s="44">
        <f>K5</f>
        <v>0</v>
      </c>
    </row>
    <row r="14" spans="2:3" ht="15">
      <c r="B14" s="42" t="s">
        <v>16</v>
      </c>
      <c r="C14" s="43" t="str">
        <f>E4&amp;F4&amp;G4&amp;H4&amp;K6&amp;N6</f>
        <v>FN03IQ</v>
      </c>
    </row>
    <row r="15" spans="2:4" ht="15">
      <c r="B15" s="42" t="s">
        <v>1</v>
      </c>
      <c r="C15" s="44">
        <f>P6</f>
        <v>1000</v>
      </c>
      <c r="D15" t="s">
        <v>23</v>
      </c>
    </row>
    <row r="16" spans="2:4" ht="15">
      <c r="B16" s="42" t="s">
        <v>31</v>
      </c>
      <c r="C16" s="46">
        <f>J10</f>
        <v>-12.746093749999998</v>
      </c>
      <c r="D16" t="s">
        <v>34</v>
      </c>
    </row>
    <row r="17" spans="2:4" ht="15">
      <c r="B17" s="42" t="s">
        <v>32</v>
      </c>
      <c r="C17" s="46">
        <f>M9</f>
        <v>4.169921875</v>
      </c>
      <c r="D17" t="s">
        <v>35</v>
      </c>
    </row>
    <row r="18" spans="2:4" ht="15">
      <c r="B18" s="42" t="s">
        <v>21</v>
      </c>
      <c r="C18" s="44">
        <f>Q7</f>
        <v>0</v>
      </c>
      <c r="D18" t="s">
        <v>22</v>
      </c>
    </row>
    <row r="19" spans="2:3" ht="15">
      <c r="B19" s="42" t="s">
        <v>6</v>
      </c>
      <c r="C19" s="44">
        <f>S7</f>
        <v>1</v>
      </c>
    </row>
    <row r="20" spans="2:3" ht="15.75" thickBot="1">
      <c r="B20" s="34" t="s">
        <v>7</v>
      </c>
      <c r="C20" s="45">
        <f>T7</f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2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2.8515625" style="0" customWidth="1"/>
    <col min="2" max="2" width="9.140625" style="0" customWidth="1"/>
    <col min="3" max="3" width="8.28125" style="0" bestFit="1" customWidth="1"/>
    <col min="4" max="4" width="9.57421875" style="0" bestFit="1" customWidth="1"/>
    <col min="5" max="5" width="6.8515625" style="0" bestFit="1" customWidth="1"/>
    <col min="11" max="11" width="10.00390625" style="0" bestFit="1" customWidth="1"/>
  </cols>
  <sheetData>
    <row r="1" spans="13:15" ht="15">
      <c r="M1" t="s">
        <v>37</v>
      </c>
      <c r="O1">
        <f>36*26*26*26</f>
        <v>632736</v>
      </c>
    </row>
    <row r="2" spans="2:20" ht="15">
      <c r="B2" t="s">
        <v>0</v>
      </c>
      <c r="C2" t="s">
        <v>1</v>
      </c>
      <c r="F2">
        <v>24</v>
      </c>
      <c r="G2">
        <v>24</v>
      </c>
      <c r="H2">
        <f>24*24</f>
        <v>576</v>
      </c>
      <c r="I2">
        <v>1068</v>
      </c>
      <c r="L2">
        <f>P2*26</f>
        <v>17576</v>
      </c>
      <c r="P2">
        <f>R2*26</f>
        <v>676</v>
      </c>
      <c r="R2">
        <v>26</v>
      </c>
      <c r="T2">
        <v>1</v>
      </c>
    </row>
    <row r="3" spans="2:20" ht="15">
      <c r="B3" s="31" t="str">
        <f>C16</f>
        <v>FN03IQ</v>
      </c>
      <c r="C3" s="31">
        <f>C17</f>
        <v>1000</v>
      </c>
      <c r="D3" s="12" t="str">
        <f>MID(B3,5,1)</f>
        <v>I</v>
      </c>
      <c r="E3" s="12" t="str">
        <f>MID(B3,6,1)</f>
        <v>Q</v>
      </c>
      <c r="F3">
        <f>CODE(D3)-CODE("A")</f>
        <v>8</v>
      </c>
      <c r="G3">
        <f>CODE(E3)-CODE("A")</f>
        <v>16</v>
      </c>
      <c r="H3">
        <f>F3*24+G3</f>
        <v>208</v>
      </c>
      <c r="I3">
        <f>INT(C3/20)</f>
        <v>50</v>
      </c>
      <c r="J3">
        <f>C15</f>
        <v>0</v>
      </c>
      <c r="K3" s="2">
        <f>1068*H3+I3</f>
        <v>222194</v>
      </c>
      <c r="L3">
        <f>INT(K3/L2)</f>
        <v>12</v>
      </c>
      <c r="M3">
        <f>C15</f>
        <v>0</v>
      </c>
      <c r="N3">
        <f>MOD(M3,10)</f>
        <v>0</v>
      </c>
      <c r="O3">
        <f>K3-L3*L2</f>
        <v>11282</v>
      </c>
      <c r="P3">
        <f>INT(O3/P2)</f>
        <v>16</v>
      </c>
      <c r="Q3">
        <f>O3-P3*P2</f>
        <v>466</v>
      </c>
      <c r="R3">
        <f>INT(Q3/R2)</f>
        <v>17</v>
      </c>
      <c r="S3">
        <f>Q3-R3*R2</f>
        <v>24</v>
      </c>
      <c r="T3">
        <f>INT(S3/T2)</f>
        <v>24</v>
      </c>
    </row>
    <row r="4" spans="6:20" ht="15">
      <c r="F4">
        <f>F3</f>
        <v>8</v>
      </c>
      <c r="G4">
        <f>G2*F4+G3</f>
        <v>208</v>
      </c>
      <c r="J4" s="39" t="str">
        <f>IF(J3&lt;10,"0","Q")</f>
        <v>0</v>
      </c>
      <c r="L4" s="39" t="str">
        <f>IF(L3&lt;10,CHAR(L3+CODE("0")),CHAR((L3-10)+CODE("A")))</f>
        <v>C</v>
      </c>
      <c r="N4" s="39" t="str">
        <f>CHAR(N3+CODE("0"))</f>
        <v>0</v>
      </c>
      <c r="P4" s="39" t="str">
        <f>CHAR(P3+CODE("A"))</f>
        <v>Q</v>
      </c>
      <c r="R4" s="39" t="str">
        <f>CHAR(R3+CODE("A"))</f>
        <v>R</v>
      </c>
      <c r="T4" s="39" t="str">
        <f>CHAR(T3+CODE("A"))</f>
        <v>Y</v>
      </c>
    </row>
    <row r="6" spans="2:3" ht="15">
      <c r="B6">
        <f>1024/90</f>
        <v>11.377777777777778</v>
      </c>
      <c r="C6">
        <f>1024/40</f>
        <v>25.6</v>
      </c>
    </row>
    <row r="7" spans="2:13" ht="15">
      <c r="B7">
        <v>90</v>
      </c>
      <c r="C7">
        <v>40</v>
      </c>
      <c r="D7">
        <v>42</v>
      </c>
      <c r="E7">
        <v>2</v>
      </c>
      <c r="F7">
        <v>2</v>
      </c>
      <c r="K7" t="s">
        <v>2</v>
      </c>
      <c r="M7">
        <f>18*18*10*10*19</f>
        <v>615600</v>
      </c>
    </row>
    <row r="8" spans="2:16" ht="15"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I8">
        <f>18*10*10*19</f>
        <v>34200</v>
      </c>
      <c r="L8">
        <f>10*10*19</f>
        <v>1900</v>
      </c>
      <c r="N8">
        <f>10*19</f>
        <v>190</v>
      </c>
      <c r="P8">
        <v>19</v>
      </c>
    </row>
    <row r="9" spans="2:17" ht="15">
      <c r="B9" s="17">
        <f>INT(1024*(C18*0.01+2.73)/5)</f>
        <v>534</v>
      </c>
      <c r="C9" s="17">
        <f>INT(1024*C19/5)</f>
        <v>860</v>
      </c>
      <c r="D9">
        <f>C20</f>
        <v>0</v>
      </c>
      <c r="E9">
        <f>C21</f>
        <v>1</v>
      </c>
      <c r="F9">
        <f>C22</f>
        <v>1</v>
      </c>
      <c r="H9" s="2">
        <f>F11</f>
        <v>259395</v>
      </c>
      <c r="I9">
        <f>INT(H9/I8)</f>
        <v>7</v>
      </c>
      <c r="K9">
        <f>H9-I9*I8</f>
        <v>19995</v>
      </c>
      <c r="L9">
        <f>INT(K9/L8)</f>
        <v>10</v>
      </c>
      <c r="M9">
        <f>K9-L9*L8</f>
        <v>995</v>
      </c>
      <c r="N9">
        <f>INT(M9/N8)</f>
        <v>5</v>
      </c>
      <c r="O9">
        <f>M9-N9*N8</f>
        <v>45</v>
      </c>
      <c r="P9">
        <f>INT(O9/P8)</f>
        <v>2</v>
      </c>
      <c r="Q9">
        <f>O9-P9*P8</f>
        <v>7</v>
      </c>
    </row>
    <row r="10" spans="2:17" ht="15">
      <c r="B10">
        <f>INT((B9-457)/2)</f>
        <v>38</v>
      </c>
      <c r="C10">
        <f>INT((C9-614)/10)</f>
        <v>24</v>
      </c>
      <c r="D10">
        <f>INT(D9/2)</f>
        <v>0</v>
      </c>
      <c r="E10">
        <f>E9</f>
        <v>1</v>
      </c>
      <c r="F10">
        <f>F9</f>
        <v>1</v>
      </c>
      <c r="I10" s="39" t="str">
        <f>CHAR(I9+CODE("A"))</f>
        <v>H</v>
      </c>
      <c r="J10" s="39"/>
      <c r="L10" s="39" t="str">
        <f>CHAR(L9+CODE("A"))</f>
        <v>K</v>
      </c>
      <c r="N10" s="40">
        <f>VALUE(N9)</f>
        <v>5</v>
      </c>
      <c r="P10" s="40">
        <f>P9</f>
        <v>2</v>
      </c>
      <c r="Q10" s="40">
        <f>Q9</f>
        <v>7</v>
      </c>
    </row>
    <row r="11" spans="2:6" ht="15">
      <c r="B11">
        <f>B10</f>
        <v>38</v>
      </c>
      <c r="C11">
        <f>B11*C7+C10</f>
        <v>1544</v>
      </c>
      <c r="D11">
        <f>C11*D7+D10</f>
        <v>64848</v>
      </c>
      <c r="E11">
        <f>D11*E7+E10</f>
        <v>129697</v>
      </c>
      <c r="F11">
        <f>E11*F7+F10</f>
        <v>259395</v>
      </c>
    </row>
    <row r="12" ht="15.75" thickBot="1"/>
    <row r="13" spans="2:11" ht="15.75" thickBot="1">
      <c r="B13" s="27" t="s">
        <v>24</v>
      </c>
      <c r="K13" s="38" t="s">
        <v>25</v>
      </c>
    </row>
    <row r="14" ht="15.75" thickBot="1"/>
    <row r="15" spans="2:12" ht="15">
      <c r="B15" s="28" t="s">
        <v>36</v>
      </c>
      <c r="C15" s="22">
        <v>0</v>
      </c>
      <c r="K15" s="32" t="s">
        <v>26</v>
      </c>
      <c r="L15" s="33" t="str">
        <f>J4&amp;L4&amp;N4&amp;P4&amp;R4&amp;T4</f>
        <v>0C0QRY</v>
      </c>
    </row>
    <row r="16" spans="2:12" ht="15">
      <c r="B16" s="36" t="s">
        <v>16</v>
      </c>
      <c r="C16" s="23" t="s">
        <v>33</v>
      </c>
      <c r="K16" s="42" t="s">
        <v>16</v>
      </c>
      <c r="L16" s="43" t="str">
        <f>I10&amp;L10&amp;N10&amp;P10</f>
        <v>HK52</v>
      </c>
    </row>
    <row r="17" spans="2:12" ht="15.75" thickBot="1">
      <c r="B17" s="36" t="s">
        <v>1</v>
      </c>
      <c r="C17" s="23">
        <v>1000</v>
      </c>
      <c r="K17" s="34" t="s">
        <v>17</v>
      </c>
      <c r="L17" s="35">
        <f>INDEX(Powers!A2:A20,Q10+1)</f>
        <v>23</v>
      </c>
    </row>
    <row r="18" spans="2:3" ht="15">
      <c r="B18" s="36" t="s">
        <v>31</v>
      </c>
      <c r="C18" s="37">
        <v>-12</v>
      </c>
    </row>
    <row r="19" spans="2:3" ht="15">
      <c r="B19" s="36" t="s">
        <v>32</v>
      </c>
      <c r="C19" s="37">
        <v>4.2</v>
      </c>
    </row>
    <row r="20" spans="2:3" ht="15">
      <c r="B20" s="36" t="s">
        <v>21</v>
      </c>
      <c r="C20" s="37">
        <v>0</v>
      </c>
    </row>
    <row r="21" spans="2:3" ht="15">
      <c r="B21" s="36" t="s">
        <v>6</v>
      </c>
      <c r="C21" s="37">
        <v>1</v>
      </c>
    </row>
    <row r="22" spans="2:3" ht="15.75" thickBot="1">
      <c r="B22" s="29" t="s">
        <v>7</v>
      </c>
      <c r="C22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8"/>
  <sheetViews>
    <sheetView zoomScalePageLayoutView="0" workbookViewId="0" topLeftCell="A1">
      <selection activeCell="D4" sqref="D4"/>
    </sheetView>
  </sheetViews>
  <sheetFormatPr defaultColWidth="9.140625" defaultRowHeight="15"/>
  <cols>
    <col min="3" max="3" width="71.28125" style="0" customWidth="1"/>
  </cols>
  <sheetData>
    <row r="2" spans="2:4" ht="15">
      <c r="B2" s="11" t="s">
        <v>12</v>
      </c>
      <c r="C2" s="10" t="s">
        <v>30</v>
      </c>
      <c r="D2" s="9">
        <v>576</v>
      </c>
    </row>
    <row r="3" spans="2:10" ht="15">
      <c r="B3" s="5" t="s">
        <v>1</v>
      </c>
      <c r="C3" s="4" t="s">
        <v>29</v>
      </c>
      <c r="D3" s="3">
        <v>1068</v>
      </c>
      <c r="E3">
        <f>D3*20</f>
        <v>21360</v>
      </c>
      <c r="F3">
        <f>D3*D2</f>
        <v>615168</v>
      </c>
      <c r="I3" t="s">
        <v>11</v>
      </c>
      <c r="J3">
        <f>36*26*26*26</f>
        <v>632736</v>
      </c>
    </row>
    <row r="4" spans="2:4" ht="15">
      <c r="B4" s="11" t="s">
        <v>10</v>
      </c>
      <c r="C4" s="10" t="s">
        <v>44</v>
      </c>
      <c r="D4" s="9">
        <v>90</v>
      </c>
    </row>
    <row r="5" spans="2:4" ht="15">
      <c r="B5" s="8" t="s">
        <v>9</v>
      </c>
      <c r="C5" s="7" t="s">
        <v>43</v>
      </c>
      <c r="D5" s="6">
        <v>40</v>
      </c>
    </row>
    <row r="6" spans="2:4" ht="15">
      <c r="B6" s="8" t="s">
        <v>8</v>
      </c>
      <c r="C6" s="7" t="s">
        <v>45</v>
      </c>
      <c r="D6" s="6">
        <v>42</v>
      </c>
    </row>
    <row r="7" spans="2:4" ht="15">
      <c r="B7" s="8" t="s">
        <v>6</v>
      </c>
      <c r="C7" s="7" t="s">
        <v>27</v>
      </c>
      <c r="D7" s="6">
        <v>2</v>
      </c>
    </row>
    <row r="8" spans="2:10" ht="15">
      <c r="B8" s="5" t="s">
        <v>7</v>
      </c>
      <c r="C8" s="4" t="s">
        <v>28</v>
      </c>
      <c r="D8" s="3">
        <v>2</v>
      </c>
      <c r="F8">
        <f>D4*D5*D6*D7*D8</f>
        <v>604800</v>
      </c>
      <c r="I8" t="s">
        <v>11</v>
      </c>
      <c r="J8">
        <f>18*18*10*10*19</f>
        <v>615600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2" ht="15">
      <c r="A1" s="16" t="s">
        <v>18</v>
      </c>
      <c r="B1" s="2"/>
    </row>
    <row r="2" spans="1:2" ht="15">
      <c r="A2" s="13">
        <v>0</v>
      </c>
      <c r="B2">
        <v>0</v>
      </c>
    </row>
    <row r="3" spans="1:2" ht="15">
      <c r="A3" s="14">
        <v>3</v>
      </c>
      <c r="B3">
        <f>B2+1</f>
        <v>1</v>
      </c>
    </row>
    <row r="4" spans="1:2" ht="15">
      <c r="A4" s="14">
        <v>7</v>
      </c>
      <c r="B4">
        <f aca="true" t="shared" si="0" ref="B4:B20">B3+1</f>
        <v>2</v>
      </c>
    </row>
    <row r="5" spans="1:2" ht="15">
      <c r="A5" s="14">
        <v>10</v>
      </c>
      <c r="B5">
        <f t="shared" si="0"/>
        <v>3</v>
      </c>
    </row>
    <row r="6" spans="1:2" ht="15">
      <c r="A6" s="14">
        <v>13</v>
      </c>
      <c r="B6">
        <f t="shared" si="0"/>
        <v>4</v>
      </c>
    </row>
    <row r="7" spans="1:2" ht="15">
      <c r="A7" s="14">
        <v>17</v>
      </c>
      <c r="B7">
        <f t="shared" si="0"/>
        <v>5</v>
      </c>
    </row>
    <row r="8" spans="1:2" ht="15">
      <c r="A8" s="14">
        <v>20</v>
      </c>
      <c r="B8">
        <f t="shared" si="0"/>
        <v>6</v>
      </c>
    </row>
    <row r="9" spans="1:2" ht="15">
      <c r="A9" s="14">
        <v>23</v>
      </c>
      <c r="B9">
        <f t="shared" si="0"/>
        <v>7</v>
      </c>
    </row>
    <row r="10" spans="1:2" ht="15">
      <c r="A10" s="14">
        <v>27</v>
      </c>
      <c r="B10">
        <f t="shared" si="0"/>
        <v>8</v>
      </c>
    </row>
    <row r="11" spans="1:2" ht="15">
      <c r="A11" s="14">
        <v>30</v>
      </c>
      <c r="B11">
        <f t="shared" si="0"/>
        <v>9</v>
      </c>
    </row>
    <row r="12" spans="1:2" ht="15">
      <c r="A12" s="14">
        <v>33</v>
      </c>
      <c r="B12">
        <f t="shared" si="0"/>
        <v>10</v>
      </c>
    </row>
    <row r="13" spans="1:2" ht="15">
      <c r="A13" s="14">
        <v>37</v>
      </c>
      <c r="B13">
        <f t="shared" si="0"/>
        <v>11</v>
      </c>
    </row>
    <row r="14" spans="1:2" ht="15">
      <c r="A14" s="14">
        <v>40</v>
      </c>
      <c r="B14">
        <f t="shared" si="0"/>
        <v>12</v>
      </c>
    </row>
    <row r="15" spans="1:2" ht="15">
      <c r="A15" s="14">
        <v>43</v>
      </c>
      <c r="B15">
        <f t="shared" si="0"/>
        <v>13</v>
      </c>
    </row>
    <row r="16" spans="1:2" ht="15">
      <c r="A16" s="14">
        <v>47</v>
      </c>
      <c r="B16">
        <f t="shared" si="0"/>
        <v>14</v>
      </c>
    </row>
    <row r="17" spans="1:2" ht="15">
      <c r="A17" s="14">
        <v>50</v>
      </c>
      <c r="B17">
        <f t="shared" si="0"/>
        <v>15</v>
      </c>
    </row>
    <row r="18" spans="1:2" ht="15">
      <c r="A18" s="14">
        <v>53</v>
      </c>
      <c r="B18">
        <f t="shared" si="0"/>
        <v>16</v>
      </c>
    </row>
    <row r="19" spans="1:2" ht="15">
      <c r="A19" s="14">
        <v>57</v>
      </c>
      <c r="B19">
        <f t="shared" si="0"/>
        <v>17</v>
      </c>
    </row>
    <row r="20" spans="1:2" ht="15">
      <c r="A20" s="15">
        <v>60</v>
      </c>
      <c r="B20">
        <f t="shared" si="0"/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Summers, Hans (IT/JP) / サマーズ　ハンズ</dc:creator>
  <cp:keywords/>
  <dc:description/>
  <cp:lastModifiedBy>Summers, Hans (IT/JP) / サマーズ　ハンズ</cp:lastModifiedBy>
  <dcterms:created xsi:type="dcterms:W3CDTF">2015-07-14T06:17:40Z</dcterms:created>
  <dcterms:modified xsi:type="dcterms:W3CDTF">2015-08-31T01:02:13Z</dcterms:modified>
  <cp:category/>
  <cp:version/>
  <cp:contentType/>
  <cp:contentStatus/>
</cp:coreProperties>
</file>